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tabRatio="781" activeTab="2"/>
  </bookViews>
  <sheets>
    <sheet name="LM-reviderad med makro" sheetId="1" r:id="rId1"/>
    <sheet name="LM-reviderad utan makro" sheetId="2" r:id="rId2"/>
    <sheet name="LM-LBM med makro" sheetId="3" r:id="rId3"/>
    <sheet name="LM-LBM utan makro" sheetId="4" r:id="rId4"/>
    <sheet name="LM-LBM utan makro Eng" sheetId="5" r:id="rId5"/>
    <sheet name="Formelsamling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Ulf Nyman</author>
    <author>TADM</author>
  </authors>
  <commentList>
    <comment ref="A10" authorId="0">
      <text>
        <r>
          <rPr>
            <sz val="8"/>
            <rFont val="Tahoma"/>
            <family val="2"/>
          </rPr>
          <t>DuBois D, DuBois EF. A formula to estimate the approximate surface area if height and weight be known. Arch Intern Med 1916;17:863-871.
0,007184*[vikt (kg)^0,425]*[längd (cm)^0,725]</t>
        </r>
      </text>
    </comment>
    <comment ref="A12" authorId="0">
      <text>
        <r>
          <rPr>
            <sz val="8"/>
            <rFont val="Arial"/>
            <family val="2"/>
          </rPr>
          <t>Skattat GFR mL/min/1,73 m^2
EXP[X – 0,0158 × ålder + 0,438 × ln(ålder)]
Kvinnor:  X = 2,50 + 0,0121 × (150 - krea)  (om krea &lt;150 µmol/L)
                X = 2,50 - 0,926 × ln(krea / 150) (om krea ≥150 µmol/L)
Män:       X = 2,56 + 0,00968 × (180 - krea)  (om krea &lt;180 µmol/L)
                X = 2,56 - 0,926 × ln(krea / 180) (om krea ≥180 µmol/L)
ln = naturliga logaritmen</t>
        </r>
        <r>
          <rPr>
            <sz val="8"/>
            <rFont val="Tahoma"/>
            <family val="2"/>
          </rPr>
          <t xml:space="preserve">
 </t>
        </r>
      </text>
    </comment>
    <comment ref="D11" authorId="0">
      <text>
        <r>
          <rPr>
            <b/>
            <sz val="8"/>
            <rFont val="Tahoma"/>
            <family val="2"/>
          </rPr>
          <t>Ulf Nyman:</t>
        </r>
        <r>
          <rPr>
            <sz val="8"/>
            <rFont val="Tahoma"/>
            <family val="2"/>
          </rPr>
          <t xml:space="preserve">
Icke kroppsytenormerat GFR i mL/min </t>
        </r>
      </text>
    </comment>
    <comment ref="B11" authorId="0">
      <text>
        <r>
          <rPr>
            <b/>
            <sz val="8"/>
            <rFont val="Tahoma"/>
            <family val="2"/>
          </rPr>
          <t>Ulf Nyman:</t>
        </r>
        <r>
          <rPr>
            <sz val="8"/>
            <rFont val="Tahoma"/>
            <family val="2"/>
          </rPr>
          <t xml:space="preserve">
Njurfunktion (GFR) normerat till 1,73 m2 kroppsyta</t>
        </r>
      </text>
    </comment>
    <comment ref="A5" authorId="1">
      <text>
        <r>
          <rPr>
            <sz val="8"/>
            <rFont val="Tahoma"/>
            <family val="2"/>
          </rPr>
          <t xml:space="preserve">IDMS-standardiserat kreatinin
(IDMS = </t>
        </r>
        <r>
          <rPr>
            <i/>
            <sz val="8"/>
            <rFont val="Tahoma"/>
            <family val="2"/>
          </rPr>
          <t>Isotope dilution mass spectrometry</t>
        </r>
        <r>
          <rPr>
            <sz val="8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Ulf Nyman</author>
    <author>TADM</author>
  </authors>
  <commentList>
    <comment ref="A10" authorId="0">
      <text>
        <r>
          <rPr>
            <sz val="8"/>
            <rFont val="Tahoma"/>
            <family val="2"/>
          </rPr>
          <t>DuBois D, DuBois EF. A formula to estimate the approximate surface area if height and weight be known. Arch Intern Med 1916;17:863-871.
0,007184*[vikt (kg)^0,425]*[längd (cm)^0,725]</t>
        </r>
      </text>
    </comment>
    <comment ref="A12" authorId="0">
      <text>
        <r>
          <rPr>
            <sz val="8"/>
            <rFont val="Arial"/>
            <family val="2"/>
          </rPr>
          <t>Skattat GFR mL/min/1,73 m^2
EXP[X – 0,0158 × ålder + 0,438 × ln(ålder)]
Kvinnor:  X = 2,50 + 0,0121 × (150 - krea)  (om krea &lt;150 µmol/L)
                X = 2,50 - 0,926 × ln(krea / 150) (om krea ≥150 µmol/L)
Män:       X = 2,56 + 0,00968 × (180 - krea)  (om krea &lt;180 µmol/L)
                X = 2,56 - 0,926 × ln(krea / 180) (om krea ≥180 µmol/L)
ln = naturliga logaritmen</t>
        </r>
        <r>
          <rPr>
            <sz val="8"/>
            <rFont val="Tahoma"/>
            <family val="2"/>
          </rPr>
          <t xml:space="preserve">
 </t>
        </r>
      </text>
    </comment>
    <comment ref="D11" authorId="0">
      <text>
        <r>
          <rPr>
            <b/>
            <sz val="8"/>
            <rFont val="Tahoma"/>
            <family val="2"/>
          </rPr>
          <t>Ulf Nyman:</t>
        </r>
        <r>
          <rPr>
            <sz val="8"/>
            <rFont val="Tahoma"/>
            <family val="2"/>
          </rPr>
          <t xml:space="preserve">
Icke kroppsytenormerat GFR i mL/min </t>
        </r>
      </text>
    </comment>
    <comment ref="B11" authorId="0">
      <text>
        <r>
          <rPr>
            <b/>
            <sz val="8"/>
            <rFont val="Tahoma"/>
            <family val="2"/>
          </rPr>
          <t>Ulf Nyman:</t>
        </r>
        <r>
          <rPr>
            <sz val="8"/>
            <rFont val="Tahoma"/>
            <family val="2"/>
          </rPr>
          <t xml:space="preserve">
Njurfunktion (GFR) normerat till 1,73 m2 kroppsyta</t>
        </r>
      </text>
    </comment>
    <comment ref="A5" authorId="1">
      <text>
        <r>
          <rPr>
            <sz val="8"/>
            <rFont val="Tahoma"/>
            <family val="2"/>
          </rPr>
          <t xml:space="preserve">IDMS-standardiserat kreatinin
(IDMS = </t>
        </r>
        <r>
          <rPr>
            <i/>
            <sz val="8"/>
            <rFont val="Tahoma"/>
            <family val="2"/>
          </rPr>
          <t>Isotope dilution mass spectrometry</t>
        </r>
        <r>
          <rPr>
            <sz val="8"/>
            <rFont val="Tahoma"/>
            <family val="2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Ulf Nyman</author>
    <author>Administrat?r</author>
  </authors>
  <commentList>
    <comment ref="A5" authorId="0">
      <text>
        <r>
          <rPr>
            <sz val="8"/>
            <rFont val="Tahoma"/>
            <family val="2"/>
          </rPr>
          <t>IDMS-standardiserat kreatinin
(IDMS = Isotope dilution mass spectrometry)</t>
        </r>
      </text>
    </comment>
    <comment ref="A10" authorId="0">
      <text>
        <r>
          <rPr>
            <sz val="8"/>
            <rFont val="Tahoma"/>
            <family val="2"/>
          </rPr>
          <t>Boer P. Am J Physiol 1984;247:F632-636.
Women 0.252 × weight + 0.473 × height – 48.3
Men  0.407 × weight + 0.267 × height – 19.2</t>
        </r>
      </text>
    </comment>
    <comment ref="A11" authorId="0">
      <text>
        <r>
          <rPr>
            <sz val="8"/>
            <rFont val="Tahoma"/>
            <family val="2"/>
          </rPr>
          <t>DuBois D, DuBois EF. A formula to estimate the approximate surface area if height and weight be known. Arch Intern Med 1916;17:863-871.
*0,007184*[weight (kg)^0,425]*[height (cm)^0,725]</t>
        </r>
      </text>
    </comment>
    <comment ref="A13" authorId="0">
      <text>
        <r>
          <rPr>
            <sz val="8"/>
            <rFont val="Tahoma"/>
            <family val="2"/>
          </rPr>
          <t xml:space="preserve">Skattat GFR i mL/min
eGFR = EXP[X - 0.0128 × age + 0.387 × ln(age) + 1.10 × ln(LBM)]
                   X = –0.0111 × pCr (if pCr &lt; 150 umol/L)
                   X = 3.55 + 0.0004 × pCr - 1.07 × ln(pCr) (if pCr &gt;=150 umol/L)
LN = naturliga logaritmen
LBM = lean body mass enligt Boer   </t>
        </r>
      </text>
    </comment>
    <comment ref="B12" authorId="0">
      <text>
        <r>
          <rPr>
            <b/>
            <sz val="8"/>
            <rFont val="Tahoma"/>
            <family val="2"/>
          </rPr>
          <t>Ulf Nyman:</t>
        </r>
        <r>
          <rPr>
            <sz val="8"/>
            <rFont val="Tahoma"/>
            <family val="2"/>
          </rPr>
          <t xml:space="preserve">
Njurfunktion (GFR) normerat till 1,73 m2 kroppsyta</t>
        </r>
      </text>
    </comment>
    <comment ref="D12" authorId="0">
      <text>
        <r>
          <rPr>
            <b/>
            <sz val="8"/>
            <rFont val="Tahoma"/>
            <family val="2"/>
          </rPr>
          <t>Ulf Nyman:</t>
        </r>
        <r>
          <rPr>
            <sz val="8"/>
            <rFont val="Tahoma"/>
            <family val="2"/>
          </rPr>
          <t xml:space="preserve">
Icke kroppsytejusterad GFR i mL/min </t>
        </r>
      </text>
    </comment>
    <comment ref="A2" authorId="1">
      <text>
        <r>
          <rPr>
            <b/>
            <sz val="8"/>
            <rFont val="Tahoma"/>
            <family val="2"/>
          </rPr>
          <t>Administratör:</t>
        </r>
        <r>
          <rPr>
            <sz val="8"/>
            <rFont val="Tahoma"/>
            <family val="2"/>
          </rPr>
          <t xml:space="preserve">
Ställ makrosäkerheten på medel</t>
        </r>
      </text>
    </comment>
  </commentList>
</comments>
</file>

<file path=xl/comments4.xml><?xml version="1.0" encoding="utf-8"?>
<comments xmlns="http://schemas.openxmlformats.org/spreadsheetml/2006/main">
  <authors>
    <author>Ulf Nyman</author>
  </authors>
  <commentList>
    <comment ref="A5" authorId="0">
      <text>
        <r>
          <rPr>
            <sz val="8"/>
            <rFont val="Tahoma"/>
            <family val="2"/>
          </rPr>
          <t>IDMS-standardiserat kreatinin
(IDMS = Isotope dilution mass spectrometry)</t>
        </r>
      </text>
    </comment>
    <comment ref="A10" authorId="0">
      <text>
        <r>
          <rPr>
            <sz val="8"/>
            <rFont val="Tahoma"/>
            <family val="2"/>
          </rPr>
          <t xml:space="preserve">Boer P. Am J Physiol 1984;247:F632-636.
Women 0.252 × weight + 0.473 × height – 48.3
Men  0.407 × weight + 0.267 × height – 19.2
</t>
        </r>
      </text>
    </comment>
    <comment ref="A11" authorId="0">
      <text>
        <r>
          <rPr>
            <sz val="8"/>
            <rFont val="Tahoma"/>
            <family val="2"/>
          </rPr>
          <t>DuBois D, DuBois EF. A formula to estimate the approximate surface area if height and weight be known. Arch Intern Med 1916;17:863-871.
*0,007184*[weight (kg)^0,425]*[height (cm)^0,725]</t>
        </r>
      </text>
    </comment>
    <comment ref="A13" authorId="0">
      <text>
        <r>
          <rPr>
            <sz val="8"/>
            <rFont val="Tahoma"/>
            <family val="2"/>
          </rPr>
          <t xml:space="preserve">Skattat GFR i mL/min
eGFR = EXP[X - 0.0128 × age + 0.387 × ln(age) + 1.10 × ln(LBM)]
                   X = –0.0111 × pCr (if pCr &lt; 150 umol/L)
                   X = 3.55 + 0.0004 × pCr - 1.07 × ln(pCr) (if pCr &gt;=150 umol/L)
LN = naturliga logaritmen
LBM = lean body mass enligt Boer </t>
        </r>
      </text>
    </comment>
    <comment ref="B12" authorId="0">
      <text>
        <r>
          <rPr>
            <b/>
            <sz val="8"/>
            <rFont val="Tahoma"/>
            <family val="2"/>
          </rPr>
          <t>Ulf Nyman:</t>
        </r>
        <r>
          <rPr>
            <sz val="8"/>
            <rFont val="Tahoma"/>
            <family val="2"/>
          </rPr>
          <t xml:space="preserve">
Njurfunktion (GFR) normerat till 1,73 m2 kroppsyta</t>
        </r>
      </text>
    </comment>
    <comment ref="D12" authorId="0">
      <text>
        <r>
          <rPr>
            <b/>
            <sz val="8"/>
            <rFont val="Tahoma"/>
            <family val="2"/>
          </rPr>
          <t>Ulf Nyman:</t>
        </r>
        <r>
          <rPr>
            <sz val="8"/>
            <rFont val="Tahoma"/>
            <family val="2"/>
          </rPr>
          <t xml:space="preserve">
Icke kroppsytejusterad GFR i mL/min </t>
        </r>
      </text>
    </comment>
  </commentList>
</comments>
</file>

<file path=xl/comments5.xml><?xml version="1.0" encoding="utf-8"?>
<comments xmlns="http://schemas.openxmlformats.org/spreadsheetml/2006/main">
  <authors>
    <author>Ulf Nyman</author>
  </authors>
  <commentList>
    <comment ref="A5" authorId="0">
      <text>
        <r>
          <rPr>
            <sz val="8"/>
            <rFont val="Tahoma"/>
            <family val="2"/>
          </rPr>
          <t>IDMS-standardiserat kreatinin
(IDMS = Isotope dilution mass spectrometry)</t>
        </r>
      </text>
    </comment>
    <comment ref="A10" authorId="0">
      <text>
        <r>
          <rPr>
            <sz val="8"/>
            <rFont val="Tahoma"/>
            <family val="2"/>
          </rPr>
          <t xml:space="preserve">Boer P. Am J Physiol 1984;247:F632-636.
Women 0.252 × weight + 0.473 × height – 48.3
Men  0.407 × weight + 0.267 × height – 19.2
</t>
        </r>
      </text>
    </comment>
    <comment ref="A11" authorId="0">
      <text>
        <r>
          <rPr>
            <sz val="8"/>
            <rFont val="Tahoma"/>
            <family val="2"/>
          </rPr>
          <t>DuBois D, DuBois EF. A formula to estimate the approximate surface area if height and weight be known. Arch Intern Med 1916;17:863-871.
*0,007184*[weight (kg)^0,425]*[height (cm)^0,725]</t>
        </r>
      </text>
    </comment>
    <comment ref="B12" authorId="0">
      <text>
        <r>
          <rPr>
            <b/>
            <sz val="8"/>
            <rFont val="Tahoma"/>
            <family val="2"/>
          </rPr>
          <t>Ulf Nyman:</t>
        </r>
        <r>
          <rPr>
            <sz val="8"/>
            <rFont val="Tahoma"/>
            <family val="2"/>
          </rPr>
          <t xml:space="preserve">
Njurfunktion (GFR) normerat till 1,73 m2 kroppsyta</t>
        </r>
      </text>
    </comment>
    <comment ref="D12" authorId="0">
      <text>
        <r>
          <rPr>
            <b/>
            <sz val="8"/>
            <rFont val="Tahoma"/>
            <family val="2"/>
          </rPr>
          <t>Ulf Nyman:</t>
        </r>
        <r>
          <rPr>
            <sz val="8"/>
            <rFont val="Tahoma"/>
            <family val="2"/>
          </rPr>
          <t xml:space="preserve">
Icke kroppsytejusterad GFR i mL/min </t>
        </r>
      </text>
    </comment>
    <comment ref="A13" authorId="0">
      <text>
        <r>
          <rPr>
            <sz val="8"/>
            <rFont val="Tahoma"/>
            <family val="2"/>
          </rPr>
          <t xml:space="preserve">Skattat GFR i mL/min
eGFR = EXP[X - 0.0128 × age + 0.387 × ln(age) + 1.10 × ln(LBM)]
                   X = –0.0111 × pCr (if pCr &lt; 150 umol/L)
                   X = 3.55 + 0.0004 × pCr - 1.07 × ln(pCr) (if pCr &gt;=150 umol/L)
LN = naturliga logaritmen
LBM = lean body mass enligt Boer   </t>
        </r>
      </text>
    </comment>
  </commentList>
</comments>
</file>

<file path=xl/comments6.xml><?xml version="1.0" encoding="utf-8"?>
<comments xmlns="http://schemas.openxmlformats.org/spreadsheetml/2006/main">
  <authors>
    <author>Administrat?r</author>
  </authors>
  <commentList>
    <comment ref="G3" authorId="0">
      <text>
        <r>
          <rPr>
            <b/>
            <sz val="8"/>
            <rFont val="Tahoma"/>
            <family val="2"/>
          </rPr>
          <t>Administratör:</t>
        </r>
        <r>
          <rPr>
            <sz val="8"/>
            <rFont val="Tahoma"/>
            <family val="2"/>
          </rPr>
          <t xml:space="preserve">
Enligt Dubois</t>
        </r>
      </text>
    </comment>
    <comment ref="C3" authorId="0">
      <text>
        <r>
          <rPr>
            <b/>
            <sz val="8"/>
            <rFont val="Tahoma"/>
            <family val="2"/>
          </rPr>
          <t>Administratör:</t>
        </r>
        <r>
          <rPr>
            <sz val="8"/>
            <rFont val="Tahoma"/>
            <family val="2"/>
          </rPr>
          <t xml:space="preserve">
0 = man
1 = kvinna</t>
        </r>
      </text>
    </comment>
    <comment ref="I3" authorId="0">
      <text>
        <r>
          <rPr>
            <b/>
            <sz val="8"/>
            <rFont val="Tahoma"/>
            <family val="2"/>
          </rPr>
          <t>Administratör:</t>
        </r>
        <r>
          <rPr>
            <sz val="8"/>
            <rFont val="Tahoma"/>
            <family val="2"/>
          </rPr>
          <t xml:space="preserve">
Lean body mass enligt Boer</t>
        </r>
      </text>
    </comment>
    <comment ref="K3" authorId="0">
      <text>
        <r>
          <rPr>
            <b/>
            <sz val="8"/>
            <rFont val="Tahoma"/>
            <family val="2"/>
          </rPr>
          <t>Administratör:</t>
        </r>
        <r>
          <rPr>
            <sz val="8"/>
            <rFont val="Tahoma"/>
            <family val="2"/>
          </rPr>
          <t xml:space="preserve">
Bästa formel för BMI &lt;20 kg/m2</t>
        </r>
      </text>
    </comment>
    <comment ref="L3" authorId="0">
      <text>
        <r>
          <rPr>
            <b/>
            <sz val="8"/>
            <rFont val="Tahoma"/>
            <family val="2"/>
          </rPr>
          <t>Administratör:</t>
        </r>
        <r>
          <rPr>
            <sz val="8"/>
            <rFont val="Tahoma"/>
            <family val="2"/>
          </rPr>
          <t xml:space="preserve">
Levey et al. Ann Intern Med 2006;145:247-254.</t>
        </r>
      </text>
    </comment>
    <comment ref="M3" authorId="0">
      <text>
        <r>
          <rPr>
            <b/>
            <sz val="8"/>
            <rFont val="Tahoma"/>
            <family val="2"/>
          </rPr>
          <t>Administratör:</t>
        </r>
        <r>
          <rPr>
            <sz val="8"/>
            <rFont val="Tahoma"/>
            <family val="2"/>
          </rPr>
          <t xml:space="preserve">
Levey et al. Ann Intern Med 2009;150:604-612.</t>
        </r>
      </text>
    </comment>
    <comment ref="N3" authorId="0">
      <text>
        <r>
          <rPr>
            <b/>
            <sz val="8"/>
            <rFont val="Tahoma"/>
            <family val="2"/>
          </rPr>
          <t>Administratör:</t>
        </r>
        <r>
          <rPr>
            <sz val="8"/>
            <rFont val="Tahoma"/>
            <family val="2"/>
          </rPr>
          <t xml:space="preserve">
Cockcroft and Gault. Nephron 1976;16:31-41.</t>
        </r>
      </text>
    </comment>
  </commentList>
</comments>
</file>

<file path=xl/sharedStrings.xml><?xml version="1.0" encoding="utf-8"?>
<sst xmlns="http://schemas.openxmlformats.org/spreadsheetml/2006/main" count="147" uniqueCount="70">
  <si>
    <t>Kön (1=kvinna, 0=man)</t>
  </si>
  <si>
    <t>Ålder</t>
  </si>
  <si>
    <t>år</t>
  </si>
  <si>
    <t>kg</t>
  </si>
  <si>
    <t>cm</t>
  </si>
  <si>
    <t>Kroppsyta enligt Dubois</t>
  </si>
  <si>
    <t>Skattat GFR</t>
  </si>
  <si>
    <t>Programmet utarbetat av Ulf Nyman</t>
  </si>
  <si>
    <t>mL/min</t>
  </si>
  <si>
    <r>
      <t>m</t>
    </r>
    <r>
      <rPr>
        <vertAlign val="superscript"/>
        <sz val="10"/>
        <rFont val="Geneva"/>
        <family val="0"/>
      </rPr>
      <t>2</t>
    </r>
  </si>
  <si>
    <r>
      <t xml:space="preserve">Vikt </t>
    </r>
    <r>
      <rPr>
        <b/>
        <sz val="8"/>
        <rFont val="Geneva"/>
        <family val="0"/>
      </rPr>
      <t>(för beräkning av absolut GFR)</t>
    </r>
    <r>
      <rPr>
        <b/>
        <sz val="10"/>
        <rFont val="Geneva"/>
        <family val="0"/>
      </rPr>
      <t xml:space="preserve"> </t>
    </r>
  </si>
  <si>
    <r>
      <t xml:space="preserve">Längd </t>
    </r>
    <r>
      <rPr>
        <b/>
        <sz val="8"/>
        <rFont val="Geneva"/>
        <family val="0"/>
      </rPr>
      <t xml:space="preserve">(för beräkning av absolut GFR) </t>
    </r>
  </si>
  <si>
    <r>
      <t>mL/min per 1,73 m</t>
    </r>
    <r>
      <rPr>
        <vertAlign val="superscript"/>
        <sz val="10"/>
        <rFont val="Geneva"/>
        <family val="0"/>
      </rPr>
      <t>2</t>
    </r>
  </si>
  <si>
    <r>
      <t>µ</t>
    </r>
    <r>
      <rPr>
        <sz val="10"/>
        <rFont val="Geneva"/>
        <family val="0"/>
      </rPr>
      <t>mol/L</t>
    </r>
  </si>
  <si>
    <t>Relativt</t>
  </si>
  <si>
    <t>Absolut</t>
  </si>
  <si>
    <t>Björk J, Grubb A, Sterner G, Nyman U. Revised equations to estimate glomerular filtration rate based on the Lund-Malmö Study cohort. Scan J Clin Lab Invest 2011;71:232-239</t>
  </si>
  <si>
    <t>Skattning av njurfunktion</t>
  </si>
  <si>
    <t>Kön</t>
  </si>
  <si>
    <t>Längd</t>
  </si>
  <si>
    <t>Vikt</t>
  </si>
  <si>
    <t>BMI</t>
  </si>
  <si>
    <t>LM-LBM</t>
  </si>
  <si>
    <t>CKD-EPI</t>
  </si>
  <si>
    <t>Kreatinin</t>
  </si>
  <si>
    <t>Cockcroft-Gault</t>
  </si>
  <si>
    <t>MDRD-IDMS</t>
  </si>
  <si>
    <t>LM-reviderad</t>
  </si>
  <si>
    <t>LBM</t>
  </si>
  <si>
    <t>Kroppsyta</t>
  </si>
  <si>
    <t>(cm)</t>
  </si>
  <si>
    <t>(kg)</t>
  </si>
  <si>
    <t>(µmol/L)</t>
  </si>
  <si>
    <t>(år)</t>
  </si>
  <si>
    <r>
      <t>(m</t>
    </r>
    <r>
      <rPr>
        <b/>
        <vertAlign val="superscript"/>
        <sz val="12"/>
        <color indexed="9"/>
        <rFont val="Arial"/>
        <family val="2"/>
      </rPr>
      <t>2</t>
    </r>
    <r>
      <rPr>
        <b/>
        <sz val="12"/>
        <color indexed="9"/>
        <rFont val="Arial"/>
        <family val="2"/>
      </rPr>
      <t>)</t>
    </r>
  </si>
  <si>
    <r>
      <t>(kg/m</t>
    </r>
    <r>
      <rPr>
        <b/>
        <vertAlign val="superscript"/>
        <sz val="12"/>
        <color indexed="9"/>
        <rFont val="Arial"/>
        <family val="2"/>
      </rPr>
      <t>2</t>
    </r>
    <r>
      <rPr>
        <b/>
        <sz val="12"/>
        <color indexed="9"/>
        <rFont val="Arial"/>
        <family val="2"/>
      </rPr>
      <t>)</t>
    </r>
  </si>
  <si>
    <r>
      <t>(mL/min/1,73 m</t>
    </r>
    <r>
      <rPr>
        <b/>
        <vertAlign val="superscript"/>
        <sz val="12"/>
        <color indexed="9"/>
        <rFont val="Arial"/>
        <family val="2"/>
      </rPr>
      <t>2</t>
    </r>
    <r>
      <rPr>
        <b/>
        <sz val="12"/>
        <color indexed="9"/>
        <rFont val="Arial"/>
        <family val="2"/>
      </rPr>
      <t>)</t>
    </r>
  </si>
  <si>
    <r>
      <t>Skattning av relativt GFR (mL/min/1,73 m</t>
    </r>
    <r>
      <rPr>
        <b/>
        <vertAlign val="superscript"/>
        <sz val="18"/>
        <rFont val="Geneva"/>
        <family val="0"/>
      </rPr>
      <t>2</t>
    </r>
    <r>
      <rPr>
        <b/>
        <sz val="18"/>
        <rFont val="Geneva"/>
        <family val="0"/>
      </rPr>
      <t>) med olika formler</t>
    </r>
  </si>
  <si>
    <t>µmol/L</t>
  </si>
  <si>
    <t>Lean body mass</t>
  </si>
  <si>
    <t>Skattning av njurfuntktion</t>
  </si>
  <si>
    <t>Body mass index</t>
  </si>
  <si>
    <r>
      <t>kg/m</t>
    </r>
    <r>
      <rPr>
        <vertAlign val="superscript"/>
        <sz val="10"/>
        <rFont val="Geneva"/>
        <family val="0"/>
      </rPr>
      <t>2</t>
    </r>
  </si>
  <si>
    <r>
      <t xml:space="preserve">Skattning av GFR baserat på plasma-kreatinin, kön                    och ålder för individer </t>
    </r>
    <r>
      <rPr>
        <b/>
        <u val="single"/>
        <sz val="12"/>
        <rFont val="Geneva"/>
        <family val="0"/>
      </rPr>
      <t>&gt;</t>
    </r>
    <r>
      <rPr>
        <b/>
        <sz val="12"/>
        <rFont val="Geneva"/>
        <family val="0"/>
      </rPr>
      <t>18 år</t>
    </r>
  </si>
  <si>
    <r>
      <t xml:space="preserve">Skattning av GFR baserat på plasma-kreatinin, kön                     och ålder för individer </t>
    </r>
    <r>
      <rPr>
        <b/>
        <u val="single"/>
        <sz val="12"/>
        <rFont val="Geneva"/>
        <family val="0"/>
      </rPr>
      <t>&gt;</t>
    </r>
    <r>
      <rPr>
        <b/>
        <sz val="12"/>
        <rFont val="Geneva"/>
        <family val="0"/>
      </rPr>
      <t>18 år</t>
    </r>
  </si>
  <si>
    <r>
      <t>Denna formel lämpar sig bäst för individer med BMI &lt;20 kg/m</t>
    </r>
    <r>
      <rPr>
        <vertAlign val="superscript"/>
        <sz val="10"/>
        <color indexed="9"/>
        <rFont val="Geneva"/>
        <family val="0"/>
      </rPr>
      <t>2</t>
    </r>
  </si>
  <si>
    <r>
      <t>kg/m</t>
    </r>
    <r>
      <rPr>
        <vertAlign val="superscript"/>
        <sz val="10"/>
        <color indexed="8"/>
        <rFont val="Geneva"/>
        <family val="0"/>
      </rPr>
      <t>2</t>
    </r>
  </si>
  <si>
    <t>Om BMI &lt;20, använd LM-LBM</t>
  </si>
  <si>
    <t xml:space="preserve">SBU-rapport   214/2012        </t>
  </si>
  <si>
    <t xml:space="preserve">SBU-rapport   214/2012         </t>
  </si>
  <si>
    <t xml:space="preserve">SBU-rapport   214/2012                                                   </t>
  </si>
  <si>
    <t>Plasmakreatinin</t>
  </si>
  <si>
    <t>Lund-Malmöformel med LBM</t>
  </si>
  <si>
    <t>Reviderad Lund-Malmöformel</t>
  </si>
  <si>
    <r>
      <t>Längd</t>
    </r>
    <r>
      <rPr>
        <b/>
        <sz val="8"/>
        <rFont val="Geneva"/>
        <family val="0"/>
      </rPr>
      <t xml:space="preserve"> </t>
    </r>
  </si>
  <si>
    <r>
      <t xml:space="preserve">Skattning av GFR baserat på p-kreatinin, kön, ålder och                         lean body mass (längd &amp; vikt) för individer </t>
    </r>
    <r>
      <rPr>
        <b/>
        <u val="single"/>
        <sz val="12"/>
        <rFont val="Geneva"/>
        <family val="0"/>
      </rPr>
      <t>&gt;</t>
    </r>
    <r>
      <rPr>
        <b/>
        <sz val="12"/>
        <rFont val="Geneva"/>
        <family val="0"/>
      </rPr>
      <t>18 år</t>
    </r>
  </si>
  <si>
    <t>Sex (1=woman, 0=man)</t>
  </si>
  <si>
    <t>Age</t>
  </si>
  <si>
    <t>years</t>
  </si>
  <si>
    <t>Plasma/serum creatinine</t>
  </si>
  <si>
    <t>Weight</t>
  </si>
  <si>
    <t>Height</t>
  </si>
  <si>
    <t>Body surface area Dubois</t>
  </si>
  <si>
    <t>Estimated GFR</t>
  </si>
  <si>
    <t>Relative</t>
  </si>
  <si>
    <t>Absolute</t>
  </si>
  <si>
    <t>Lund-Malmö with LBM</t>
  </si>
  <si>
    <r>
      <t xml:space="preserve">GFR estimation based on creatinine, sex, age and                            lean body mass (height &amp; weight) in individuals </t>
    </r>
    <r>
      <rPr>
        <b/>
        <u val="single"/>
        <sz val="12"/>
        <rFont val="Geneva"/>
        <family val="0"/>
      </rPr>
      <t>&gt;</t>
    </r>
    <r>
      <rPr>
        <b/>
        <sz val="12"/>
        <rFont val="Geneva"/>
        <family val="0"/>
      </rPr>
      <t>18 years</t>
    </r>
  </si>
  <si>
    <t xml:space="preserve"> Nyman et al. Acta Radiologica 2017;58:367-375.</t>
  </si>
  <si>
    <t>Nyman et al. Acta Radiologica 2017;58:367-375.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</si>
</sst>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  <numFmt numFmtId="183" formatCode="#,##0.0"/>
  </numFmts>
  <fonts count="7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2"/>
    </font>
    <font>
      <b/>
      <sz val="12"/>
      <name val="Geneva"/>
      <family val="0"/>
    </font>
    <font>
      <b/>
      <sz val="12"/>
      <name val="Arial"/>
      <family val="2"/>
    </font>
    <font>
      <sz val="12"/>
      <name val="Geneva"/>
      <family val="0"/>
    </font>
    <font>
      <sz val="8"/>
      <name val="Tahoma"/>
      <family val="2"/>
    </font>
    <font>
      <b/>
      <sz val="8"/>
      <name val="Tahoma"/>
      <family val="2"/>
    </font>
    <font>
      <vertAlign val="superscript"/>
      <sz val="10"/>
      <name val="Geneva"/>
      <family val="0"/>
    </font>
    <font>
      <b/>
      <sz val="8"/>
      <name val="Geneva"/>
      <family val="0"/>
    </font>
    <font>
      <sz val="8"/>
      <name val="Arial"/>
      <family val="2"/>
    </font>
    <font>
      <i/>
      <sz val="8"/>
      <name val="Tahoma"/>
      <family val="2"/>
    </font>
    <font>
      <sz val="8.2"/>
      <name val="Arial"/>
      <family val="2"/>
    </font>
    <font>
      <sz val="8"/>
      <name val="Geneva"/>
      <family val="0"/>
    </font>
    <font>
      <b/>
      <i/>
      <sz val="12"/>
      <color indexed="13"/>
      <name val="Geneva"/>
      <family val="0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14"/>
      <name val="Geneva"/>
      <family val="0"/>
    </font>
    <font>
      <b/>
      <sz val="12"/>
      <color indexed="9"/>
      <name val="Geneva"/>
      <family val="0"/>
    </font>
    <font>
      <b/>
      <sz val="18"/>
      <name val="Geneva"/>
      <family val="0"/>
    </font>
    <font>
      <b/>
      <vertAlign val="superscript"/>
      <sz val="18"/>
      <name val="Geneva"/>
      <family val="0"/>
    </font>
    <font>
      <sz val="18"/>
      <name val="Geneva"/>
      <family val="0"/>
    </font>
    <font>
      <b/>
      <i/>
      <sz val="8"/>
      <color indexed="9"/>
      <name val="Geneva"/>
      <family val="0"/>
    </font>
    <font>
      <i/>
      <sz val="8"/>
      <color indexed="9"/>
      <name val="Geneva"/>
      <family val="0"/>
    </font>
    <font>
      <b/>
      <sz val="10"/>
      <color indexed="9"/>
      <name val="Geneva"/>
      <family val="0"/>
    </font>
    <font>
      <sz val="10"/>
      <color indexed="9"/>
      <name val="Geneva"/>
      <family val="0"/>
    </font>
    <font>
      <sz val="10"/>
      <color indexed="13"/>
      <name val="Geneva"/>
      <family val="0"/>
    </font>
    <font>
      <b/>
      <u val="single"/>
      <sz val="12"/>
      <name val="Geneva"/>
      <family val="0"/>
    </font>
    <font>
      <vertAlign val="superscript"/>
      <sz val="10"/>
      <color indexed="9"/>
      <name val="Geneva"/>
      <family val="0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sz val="8"/>
      <color indexed="8"/>
      <name val="Geneva"/>
      <family val="0"/>
    </font>
    <font>
      <vertAlign val="superscript"/>
      <sz val="10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2" applyNumberFormat="0" applyAlignment="0" applyProtection="0"/>
    <xf numFmtId="0" fontId="58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31" borderId="3" applyNumberFormat="0" applyAlignment="0" applyProtection="0"/>
    <xf numFmtId="0" fontId="63" fillId="0" borderId="4" applyNumberFormat="0" applyFill="0" applyAlignment="0" applyProtection="0"/>
    <xf numFmtId="0" fontId="64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21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1" fontId="8" fillId="0" borderId="0" xfId="50" applyNumberFormat="1" applyFont="1" applyBorder="1" applyAlignment="1">
      <alignment horizontal="center" vertical="center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1" fillId="35" borderId="15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36" borderId="13" xfId="0" applyFill="1" applyBorder="1" applyAlignment="1">
      <alignment vertical="center"/>
    </xf>
    <xf numFmtId="0" fontId="18" fillId="36" borderId="17" xfId="0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36" borderId="18" xfId="0" applyFont="1" applyFill="1" applyBorder="1" applyAlignment="1" applyProtection="1">
      <alignment horizontal="center" vertical="center"/>
      <protection locked="0"/>
    </xf>
    <xf numFmtId="0" fontId="19" fillId="36" borderId="19" xfId="0" applyFont="1" applyFill="1" applyBorder="1" applyAlignment="1" applyProtection="1">
      <alignment horizontal="center" vertical="center"/>
      <protection locked="0"/>
    </xf>
    <xf numFmtId="0" fontId="19" fillId="36" borderId="19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9" fillId="36" borderId="21" xfId="0" applyFont="1" applyFill="1" applyBorder="1" applyAlignment="1" applyProtection="1">
      <alignment horizontal="center" vertical="center"/>
      <protection locked="0"/>
    </xf>
    <xf numFmtId="0" fontId="19" fillId="36" borderId="22" xfId="0" applyFont="1" applyFill="1" applyBorder="1" applyAlignment="1" applyProtection="1">
      <alignment horizontal="center" vertical="center"/>
      <protection locked="0"/>
    </xf>
    <xf numFmtId="0" fontId="19" fillId="36" borderId="22" xfId="0" applyFont="1" applyFill="1" applyBorder="1" applyAlignment="1">
      <alignment horizontal="center" vertical="center"/>
    </xf>
    <xf numFmtId="4" fontId="7" fillId="35" borderId="23" xfId="0" applyNumberFormat="1" applyFont="1" applyFill="1" applyBorder="1" applyAlignment="1">
      <alignment horizontal="center" vertical="center"/>
    </xf>
    <xf numFmtId="3" fontId="7" fillId="35" borderId="23" xfId="0" applyNumberFormat="1" applyFont="1" applyFill="1" applyBorder="1" applyAlignment="1">
      <alignment horizontal="center" vertical="center"/>
    </xf>
    <xf numFmtId="1" fontId="7" fillId="35" borderId="23" xfId="0" applyNumberFormat="1" applyFont="1" applyFill="1" applyBorder="1" applyAlignment="1">
      <alignment horizontal="center" vertical="center"/>
    </xf>
    <xf numFmtId="1" fontId="7" fillId="35" borderId="24" xfId="0" applyNumberFormat="1" applyFont="1" applyFill="1" applyBorder="1" applyAlignment="1">
      <alignment horizontal="center" vertical="center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23" xfId="0" applyFont="1" applyFill="1" applyBorder="1" applyAlignment="1" applyProtection="1">
      <alignment horizontal="center" vertical="center"/>
      <protection locked="0"/>
    </xf>
    <xf numFmtId="0" fontId="22" fillId="36" borderId="1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1" fontId="1" fillId="33" borderId="11" xfId="0" applyNumberFormat="1" applyFont="1" applyFill="1" applyBorder="1" applyAlignment="1">
      <alignment horizontal="center" vertical="center"/>
    </xf>
    <xf numFmtId="1" fontId="8" fillId="0" borderId="11" xfId="50" applyNumberFormat="1" applyFont="1" applyBorder="1" applyAlignment="1">
      <alignment horizontal="center" vertical="center"/>
      <protection/>
    </xf>
    <xf numFmtId="0" fontId="1" fillId="35" borderId="17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16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35" borderId="12" xfId="0" applyFont="1" applyFill="1" applyBorder="1" applyAlignment="1">
      <alignment vertical="center"/>
    </xf>
    <xf numFmtId="0" fontId="33" fillId="35" borderId="17" xfId="0" applyFont="1" applyFill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0" fontId="34" fillId="35" borderId="27" xfId="0" applyFont="1" applyFill="1" applyBorder="1" applyAlignment="1">
      <alignment horizontal="left" vertical="center"/>
    </xf>
    <xf numFmtId="0" fontId="34" fillId="35" borderId="13" xfId="0" applyFont="1" applyFill="1" applyBorder="1" applyAlignment="1">
      <alignment horizontal="left" vertical="center"/>
    </xf>
    <xf numFmtId="0" fontId="0" fillId="37" borderId="10" xfId="0" applyFont="1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1" fontId="1" fillId="37" borderId="11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1" fontId="8" fillId="37" borderId="11" xfId="50" applyNumberFormat="1" applyFont="1" applyFill="1" applyBorder="1" applyAlignment="1">
      <alignment horizontal="center" vertical="center"/>
      <protection/>
    </xf>
    <xf numFmtId="1" fontId="7" fillId="37" borderId="11" xfId="0" applyNumberFormat="1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6" fillId="36" borderId="28" xfId="0" applyFont="1" applyFill="1" applyBorder="1" applyAlignment="1">
      <alignment horizontal="right" vertical="center"/>
    </xf>
    <xf numFmtId="0" fontId="26" fillId="36" borderId="29" xfId="0" applyFont="1" applyFill="1" applyBorder="1" applyAlignment="1">
      <alignment horizontal="right" vertical="center"/>
    </xf>
    <xf numFmtId="0" fontId="26" fillId="36" borderId="30" xfId="0" applyFont="1" applyFill="1" applyBorder="1" applyAlignment="1">
      <alignment horizontal="right" vertical="center"/>
    </xf>
    <xf numFmtId="0" fontId="7" fillId="35" borderId="31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vertical="center"/>
    </xf>
    <xf numFmtId="0" fontId="7" fillId="35" borderId="33" xfId="0" applyFont="1" applyFill="1" applyBorder="1" applyAlignment="1">
      <alignment vertical="center"/>
    </xf>
    <xf numFmtId="2" fontId="0" fillId="35" borderId="34" xfId="0" applyNumberFormat="1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26" fillId="36" borderId="17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27" fillId="36" borderId="16" xfId="0" applyFont="1" applyFill="1" applyBorder="1" applyAlignment="1">
      <alignment horizontal="left" vertical="center" wrapText="1"/>
    </xf>
    <xf numFmtId="0" fontId="29" fillId="36" borderId="17" xfId="0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/>
    </xf>
    <xf numFmtId="0" fontId="28" fillId="36" borderId="36" xfId="0" applyFont="1" applyFill="1" applyBorder="1" applyAlignment="1">
      <alignment vertical="center"/>
    </xf>
    <xf numFmtId="0" fontId="28" fillId="36" borderId="37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2" fontId="0" fillId="35" borderId="37" xfId="0" applyNumberFormat="1" applyFill="1" applyBorder="1" applyAlignment="1">
      <alignment vertical="center"/>
    </xf>
    <xf numFmtId="0" fontId="0" fillId="36" borderId="17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vertical="center"/>
    </xf>
    <xf numFmtId="0" fontId="7" fillId="35" borderId="40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26" fillId="36" borderId="41" xfId="0" applyFont="1" applyFill="1" applyBorder="1" applyAlignment="1">
      <alignment horizontal="left" vertical="center" wrapText="1"/>
    </xf>
    <xf numFmtId="0" fontId="27" fillId="36" borderId="42" xfId="0" applyFont="1" applyFill="1" applyBorder="1" applyAlignment="1">
      <alignment horizontal="left" vertical="center" wrapText="1"/>
    </xf>
    <xf numFmtId="0" fontId="27" fillId="36" borderId="43" xfId="0" applyFont="1" applyFill="1" applyBorder="1" applyAlignment="1">
      <alignment horizontal="left" vertical="center" wrapText="1"/>
    </xf>
    <xf numFmtId="0" fontId="29" fillId="36" borderId="17" xfId="0" applyFont="1" applyFill="1" applyBorder="1" applyAlignment="1">
      <alignment horizontal="center"/>
    </xf>
    <xf numFmtId="0" fontId="29" fillId="36" borderId="13" xfId="0" applyFont="1" applyFill="1" applyBorder="1" applyAlignment="1">
      <alignment horizontal="center"/>
    </xf>
    <xf numFmtId="0" fontId="29" fillId="36" borderId="16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19" fillId="36" borderId="44" xfId="0" applyFont="1" applyFill="1" applyBorder="1" applyAlignment="1">
      <alignment horizontal="center" vertical="center"/>
    </xf>
    <xf numFmtId="0" fontId="23" fillId="35" borderId="38" xfId="0" applyFont="1" applyFill="1" applyBorder="1" applyAlignment="1" applyProtection="1">
      <alignment horizontal="center" vertical="center"/>
      <protection locked="0"/>
    </xf>
    <xf numFmtId="0" fontId="25" fillId="35" borderId="39" xfId="0" applyFont="1" applyFill="1" applyBorder="1" applyAlignment="1">
      <alignment horizontal="center" vertical="center"/>
    </xf>
    <xf numFmtId="0" fontId="25" fillId="35" borderId="40" xfId="0" applyFont="1" applyFill="1" applyBorder="1" applyAlignment="1">
      <alignment horizontal="center" vertic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creatinine clearance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 macro="[0]!Nollställa">
      <xdr:nvSpPr>
        <xdr:cNvPr id="1" name="AutoShape 1"/>
        <xdr:cNvSpPr>
          <a:spLocks/>
        </xdr:cNvSpPr>
      </xdr:nvSpPr>
      <xdr:spPr>
        <a:xfrm>
          <a:off x="2333625" y="1543050"/>
          <a:ext cx="809625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Nollställ</a:t>
          </a:r>
        </a:p>
      </xdr:txBody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800100</xdr:colOff>
      <xdr:row>7</xdr:row>
      <xdr:rowOff>0</xdr:rowOff>
    </xdr:to>
    <xdr:pic>
      <xdr:nvPicPr>
        <xdr:cNvPr id="2" name="il_fi" descr="333-sbu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90550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2</xdr:row>
      <xdr:rowOff>0</xdr:rowOff>
    </xdr:from>
    <xdr:to>
      <xdr:col>4</xdr:col>
      <xdr:colOff>800100</xdr:colOff>
      <xdr:row>7</xdr:row>
      <xdr:rowOff>0</xdr:rowOff>
    </xdr:to>
    <xdr:pic>
      <xdr:nvPicPr>
        <xdr:cNvPr id="1" name="il_fi" descr="333-sbu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90550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 macro="[1]!Nollställa2">
      <xdr:nvSpPr>
        <xdr:cNvPr id="1" name="AutoShape 1"/>
        <xdr:cNvSpPr>
          <a:spLocks/>
        </xdr:cNvSpPr>
      </xdr:nvSpPr>
      <xdr:spPr>
        <a:xfrm>
          <a:off x="2333625" y="1543050"/>
          <a:ext cx="809625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Nollställ</a:t>
          </a:r>
        </a:p>
      </xdr:txBody>
    </xdr:sp>
    <xdr:clientData/>
  </xdr:twoCellAnchor>
  <xdr:twoCellAnchor editAs="oneCell">
    <xdr:from>
      <xdr:col>3</xdr:col>
      <xdr:colOff>695325</xdr:colOff>
      <xdr:row>2</xdr:row>
      <xdr:rowOff>0</xdr:rowOff>
    </xdr:from>
    <xdr:to>
      <xdr:col>5</xdr:col>
      <xdr:colOff>0</xdr:colOff>
      <xdr:row>7</xdr:row>
      <xdr:rowOff>0</xdr:rowOff>
    </xdr:to>
    <xdr:pic>
      <xdr:nvPicPr>
        <xdr:cNvPr id="2" name="il_fi" descr="333-sbu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90550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2</xdr:row>
      <xdr:rowOff>0</xdr:rowOff>
    </xdr:from>
    <xdr:to>
      <xdr:col>5</xdr:col>
      <xdr:colOff>0</xdr:colOff>
      <xdr:row>7</xdr:row>
      <xdr:rowOff>0</xdr:rowOff>
    </xdr:to>
    <xdr:pic>
      <xdr:nvPicPr>
        <xdr:cNvPr id="1" name="il_fi" descr="333-sbu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90550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2</xdr:row>
      <xdr:rowOff>0</xdr:rowOff>
    </xdr:from>
    <xdr:to>
      <xdr:col>5</xdr:col>
      <xdr:colOff>0</xdr:colOff>
      <xdr:row>7</xdr:row>
      <xdr:rowOff>0</xdr:rowOff>
    </xdr:to>
    <xdr:pic>
      <xdr:nvPicPr>
        <xdr:cNvPr id="1" name="il_fi" descr="333-sbu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90550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377b72b9869922a3/Ulfs%20dokument/A%20PEK/GFR%20formler/Kalkylator/SBU/Rel%20GFR%20ekv%20(Lund-Malm&#246;);%20krea,%20k&#246;n,%20&#229;lder,%20LBM%20med%20mak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attat GFR med makro"/>
      <sheetName val="Rel GFR ekv (Lund-Malmö); krea,"/>
    </sheetNames>
    <definedNames>
      <definedName name="Nollställa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8"/>
  <dimension ref="A1:H35"/>
  <sheetViews>
    <sheetView zoomScale="150" zoomScaleNormal="150" zoomScalePageLayoutView="0" workbookViewId="0" topLeftCell="A1">
      <selection activeCell="B3" sqref="B3:B7"/>
    </sheetView>
  </sheetViews>
  <sheetFormatPr defaultColWidth="11.50390625" defaultRowHeight="12.75"/>
  <cols>
    <col min="1" max="1" width="30.625" style="0" customWidth="1"/>
    <col min="2" max="2" width="10.625" style="11" customWidth="1"/>
    <col min="3" max="3" width="10.625" style="0" customWidth="1"/>
    <col min="4" max="4" width="9.625" style="0" customWidth="1"/>
    <col min="5" max="5" width="10.625" style="0" customWidth="1"/>
    <col min="6" max="6" width="11.50390625" style="2" customWidth="1"/>
  </cols>
  <sheetData>
    <row r="1" spans="1:6" s="4" customFormat="1" ht="31.5" customHeight="1" thickTop="1">
      <c r="A1" s="68" t="s">
        <v>44</v>
      </c>
      <c r="B1" s="69"/>
      <c r="C1" s="69"/>
      <c r="D1" s="69"/>
      <c r="E1" s="70"/>
      <c r="F1" s="22"/>
    </row>
    <row r="2" spans="1:8" s="4" customFormat="1" ht="15" customHeight="1">
      <c r="A2" s="76"/>
      <c r="B2" s="77"/>
      <c r="C2" s="77"/>
      <c r="D2" s="77"/>
      <c r="E2" s="78"/>
      <c r="F2" s="22"/>
      <c r="H2" s="22"/>
    </row>
    <row r="3" spans="1:6" s="4" customFormat="1" ht="15" customHeight="1">
      <c r="A3" s="14" t="s">
        <v>0</v>
      </c>
      <c r="B3" s="3"/>
      <c r="C3" s="16"/>
      <c r="D3" s="16"/>
      <c r="E3" s="12"/>
      <c r="F3" s="43"/>
    </row>
    <row r="4" spans="1:6" s="4" customFormat="1" ht="15" customHeight="1">
      <c r="A4" s="15" t="s">
        <v>1</v>
      </c>
      <c r="B4" s="5"/>
      <c r="C4" s="16" t="s">
        <v>2</v>
      </c>
      <c r="D4" s="16"/>
      <c r="E4" s="12"/>
      <c r="F4" s="22"/>
    </row>
    <row r="5" spans="1:6" s="4" customFormat="1" ht="15" customHeight="1">
      <c r="A5" s="15" t="s">
        <v>51</v>
      </c>
      <c r="B5" s="5"/>
      <c r="C5" s="17" t="s">
        <v>13</v>
      </c>
      <c r="D5" s="16"/>
      <c r="E5" s="12"/>
      <c r="F5" s="22"/>
    </row>
    <row r="6" spans="1:6" s="4" customFormat="1" ht="15" customHeight="1">
      <c r="A6" s="15" t="s">
        <v>10</v>
      </c>
      <c r="B6" s="5"/>
      <c r="C6" s="16" t="s">
        <v>3</v>
      </c>
      <c r="D6" s="16"/>
      <c r="E6" s="12"/>
      <c r="F6" s="22"/>
    </row>
    <row r="7" spans="1:6" s="4" customFormat="1" ht="15" customHeight="1">
      <c r="A7" s="15" t="s">
        <v>11</v>
      </c>
      <c r="B7" s="5"/>
      <c r="C7" s="16" t="s">
        <v>4</v>
      </c>
      <c r="D7" s="16"/>
      <c r="E7" s="12"/>
      <c r="F7" s="22"/>
    </row>
    <row r="8" spans="1:6" s="4" customFormat="1" ht="24.75" customHeight="1">
      <c r="A8" s="24" t="s">
        <v>50</v>
      </c>
      <c r="B8" s="13"/>
      <c r="C8" s="82" t="s">
        <v>17</v>
      </c>
      <c r="D8" s="82"/>
      <c r="E8" s="83"/>
      <c r="F8" s="22"/>
    </row>
    <row r="9" spans="1:6" s="4" customFormat="1" ht="15" customHeight="1">
      <c r="A9" s="53" t="s">
        <v>41</v>
      </c>
      <c r="B9" s="54">
        <f>IF(B6=0,"",IF(B7=0,"",B6/(B7*B7/10000)))</f>
      </c>
      <c r="C9" s="56" t="s">
        <v>46</v>
      </c>
      <c r="D9" s="63" t="s">
        <v>47</v>
      </c>
      <c r="E9" s="64"/>
      <c r="F9" s="22"/>
    </row>
    <row r="10" spans="1:6" s="4" customFormat="1" ht="15" customHeight="1">
      <c r="A10" s="15" t="s">
        <v>5</v>
      </c>
      <c r="B10" s="6">
        <f>IF(B6=0,"",IF(B7=0,"",EXP(0.425*LN(B6)+0.725*LN(B7)+LN(71.84))/10000))</f>
      </c>
      <c r="C10" s="71" t="s">
        <v>9</v>
      </c>
      <c r="D10" s="72"/>
      <c r="E10" s="50"/>
      <c r="F10" s="22"/>
    </row>
    <row r="11" spans="1:6" s="4" customFormat="1" ht="27" customHeight="1">
      <c r="A11" s="42" t="s">
        <v>6</v>
      </c>
      <c r="B11" s="79" t="s">
        <v>14</v>
      </c>
      <c r="C11" s="80"/>
      <c r="D11" s="81" t="s">
        <v>15</v>
      </c>
      <c r="E11" s="78"/>
      <c r="F11" s="22"/>
    </row>
    <row r="12" spans="1:6" s="4" customFormat="1" ht="27" customHeight="1">
      <c r="A12" s="19" t="s">
        <v>53</v>
      </c>
      <c r="B12" s="7">
        <f>IF(OR(ISBLANK(B3),ISBLANK(B4),ISBLANK(B5)),"",IF(B4&lt;18,"Fel ålder",IF(AND(B5&lt;150,B3=1),EXP(2.56-0.0642+0.0121*(150-B5)-0.0158*B4+0.438*LN(B4)),IF(AND(B5&gt;=150,B3=1),EXP(2.56-0.0642-0.926*LN(B5/150)-0.0158*B4+0.438*LN(B4)),IF(AND(B5&lt;180,B3=0),EXP(2.56+0.00968*(180-B5)-0.0158*B4+0.438*LN(B4)),IF(AND(B5&gt;=180,B3=0),EXP(2.56-0.926*LN(B5/180)-0.0158*B4+0.438*LN(B4))))))))</f>
      </c>
      <c r="C12" s="20" t="s">
        <v>12</v>
      </c>
      <c r="D12" s="8">
        <f>IF(OR(ISBLANK(B3),ISBLANK(B4),ISBLANK(B5),ISBLANK(B6),ISBLANK(B7)),"",B12*B10/1.73)</f>
      </c>
      <c r="E12" s="21" t="s">
        <v>8</v>
      </c>
      <c r="F12" s="22"/>
    </row>
    <row r="13" spans="1:6" s="4" customFormat="1" ht="24.75" customHeight="1">
      <c r="A13" s="73" t="s">
        <v>16</v>
      </c>
      <c r="B13" s="74"/>
      <c r="C13" s="74"/>
      <c r="D13" s="74"/>
      <c r="E13" s="75"/>
      <c r="F13" s="22"/>
    </row>
    <row r="14" spans="1:6" s="4" customFormat="1" ht="15" customHeight="1" thickBot="1">
      <c r="A14" s="65" t="s">
        <v>7</v>
      </c>
      <c r="B14" s="66"/>
      <c r="C14" s="66"/>
      <c r="D14" s="66"/>
      <c r="E14" s="67"/>
      <c r="F14" s="22"/>
    </row>
    <row r="15" spans="1:5" ht="13.5" thickTop="1">
      <c r="A15" s="2"/>
      <c r="B15" s="9"/>
      <c r="C15" s="2"/>
      <c r="D15" s="2"/>
      <c r="E15" s="2"/>
    </row>
    <row r="16" ht="12.75"/>
    <row r="17" ht="15">
      <c r="B17" s="10"/>
    </row>
    <row r="18" ht="12.75"/>
    <row r="35" ht="12.75">
      <c r="G35" s="1"/>
    </row>
  </sheetData>
  <sheetProtection sheet="1" objects="1" scenarios="1"/>
  <mergeCells count="9">
    <mergeCell ref="D9:E9"/>
    <mergeCell ref="A14:E14"/>
    <mergeCell ref="A1:E1"/>
    <mergeCell ref="C10:D10"/>
    <mergeCell ref="A13:E13"/>
    <mergeCell ref="A2:E2"/>
    <mergeCell ref="B11:C11"/>
    <mergeCell ref="D11:E11"/>
    <mergeCell ref="C8:E8"/>
  </mergeCells>
  <printOptions gridLines="1"/>
  <pageMargins left="0.75" right="0.75" top="1" bottom="1" header="0.5" footer="0.5"/>
  <pageSetup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H35"/>
  <sheetViews>
    <sheetView zoomScale="150" zoomScaleNormal="150" zoomScalePageLayoutView="0" workbookViewId="0" topLeftCell="A4">
      <selection activeCell="F7" sqref="F7"/>
    </sheetView>
  </sheetViews>
  <sheetFormatPr defaultColWidth="11.50390625" defaultRowHeight="12.75"/>
  <cols>
    <col min="1" max="1" width="30.625" style="0" customWidth="1"/>
    <col min="2" max="2" width="10.625" style="11" customWidth="1"/>
    <col min="3" max="3" width="10.625" style="0" customWidth="1"/>
    <col min="4" max="4" width="9.625" style="0" customWidth="1"/>
    <col min="5" max="5" width="10.625" style="0" customWidth="1"/>
    <col min="6" max="6" width="11.50390625" style="2" customWidth="1"/>
  </cols>
  <sheetData>
    <row r="1" spans="1:6" s="4" customFormat="1" ht="31.5" customHeight="1" thickTop="1">
      <c r="A1" s="68" t="s">
        <v>43</v>
      </c>
      <c r="B1" s="69"/>
      <c r="C1" s="69"/>
      <c r="D1" s="69"/>
      <c r="E1" s="70"/>
      <c r="F1" s="22"/>
    </row>
    <row r="2" spans="1:8" s="4" customFormat="1" ht="15" customHeight="1">
      <c r="A2" s="87"/>
      <c r="B2" s="88"/>
      <c r="C2" s="88"/>
      <c r="D2" s="88"/>
      <c r="E2" s="89"/>
      <c r="F2" s="22"/>
      <c r="H2" s="22"/>
    </row>
    <row r="3" spans="1:6" s="4" customFormat="1" ht="15" customHeight="1">
      <c r="A3" s="14" t="s">
        <v>0</v>
      </c>
      <c r="B3" s="3">
        <v>0</v>
      </c>
      <c r="C3" s="16"/>
      <c r="D3" s="16"/>
      <c r="E3" s="12"/>
      <c r="F3" s="43"/>
    </row>
    <row r="4" spans="1:6" s="4" customFormat="1" ht="15" customHeight="1">
      <c r="A4" s="15" t="s">
        <v>1</v>
      </c>
      <c r="B4" s="5">
        <v>75</v>
      </c>
      <c r="C4" s="16" t="s">
        <v>2</v>
      </c>
      <c r="D4" s="16"/>
      <c r="E4" s="12"/>
      <c r="F4" s="22"/>
    </row>
    <row r="5" spans="1:6" s="4" customFormat="1" ht="15" customHeight="1">
      <c r="A5" s="15" t="s">
        <v>51</v>
      </c>
      <c r="B5" s="5">
        <v>95</v>
      </c>
      <c r="C5" s="17" t="s">
        <v>13</v>
      </c>
      <c r="D5" s="16"/>
      <c r="E5" s="12"/>
      <c r="F5" s="22"/>
    </row>
    <row r="6" spans="1:6" s="4" customFormat="1" ht="15" customHeight="1">
      <c r="A6" s="15" t="s">
        <v>10</v>
      </c>
      <c r="B6" s="5">
        <v>70</v>
      </c>
      <c r="C6" s="16" t="s">
        <v>3</v>
      </c>
      <c r="D6" s="16"/>
      <c r="E6" s="12"/>
      <c r="F6" s="22"/>
    </row>
    <row r="7" spans="1:6" s="4" customFormat="1" ht="15" customHeight="1">
      <c r="A7" s="15" t="s">
        <v>11</v>
      </c>
      <c r="B7" s="5">
        <v>170</v>
      </c>
      <c r="C7" s="16" t="s">
        <v>4</v>
      </c>
      <c r="D7" s="16"/>
      <c r="E7" s="12"/>
      <c r="F7" s="22"/>
    </row>
    <row r="8" spans="1:6" s="4" customFormat="1" ht="24.75" customHeight="1">
      <c r="A8" s="24" t="s">
        <v>49</v>
      </c>
      <c r="B8" s="23"/>
      <c r="C8" s="82" t="s">
        <v>17</v>
      </c>
      <c r="D8" s="82"/>
      <c r="E8" s="83"/>
      <c r="F8" s="22"/>
    </row>
    <row r="9" spans="1:6" s="4" customFormat="1" ht="15" customHeight="1">
      <c r="A9" s="53" t="s">
        <v>41</v>
      </c>
      <c r="B9" s="44">
        <f>IF(B6=0,"",IF(B7=0,"",B6/(B7*B7/10000)))</f>
        <v>24.22145328719723</v>
      </c>
      <c r="C9" s="55" t="s">
        <v>46</v>
      </c>
      <c r="D9" s="84" t="s">
        <v>47</v>
      </c>
      <c r="E9" s="85"/>
      <c r="F9" s="22"/>
    </row>
    <row r="10" spans="1:6" s="4" customFormat="1" ht="15" customHeight="1">
      <c r="A10" s="15" t="s">
        <v>5</v>
      </c>
      <c r="B10" s="6">
        <f>IF(B6=0,"",IF(B7=0,"",EXP(0.425*LN(B6)+0.725*LN(B7)+LN(71.84))/10000))</f>
        <v>1.8097078017532484</v>
      </c>
      <c r="C10" s="86" t="s">
        <v>9</v>
      </c>
      <c r="D10" s="72"/>
      <c r="E10" s="50"/>
      <c r="F10" s="22"/>
    </row>
    <row r="11" spans="1:6" s="4" customFormat="1" ht="27" customHeight="1">
      <c r="A11" s="42" t="s">
        <v>6</v>
      </c>
      <c r="B11" s="79" t="s">
        <v>14</v>
      </c>
      <c r="C11" s="80"/>
      <c r="D11" s="81" t="s">
        <v>15</v>
      </c>
      <c r="E11" s="78"/>
      <c r="F11" s="22"/>
    </row>
    <row r="12" spans="1:6" s="4" customFormat="1" ht="27" customHeight="1">
      <c r="A12" s="19" t="s">
        <v>53</v>
      </c>
      <c r="B12" s="7">
        <f>IF(OR(ISBLANK(B3),ISBLANK(B4),ISBLANK(B5)),"",IF(B4&lt;18,"Fel ålder",IF(AND(B5&lt;150,B3=1),EXP(2.56-0.0642+0.0121*(150-B5)-0.0158*B4+0.438*LN(B4)),IF(AND(B5&gt;=150,B3=1),EXP(2.56-0.0642-0.926*LN(B5/150)-0.0158*B4+0.438*LN(B4)),IF(AND(B5&lt;180,B3=0),EXP(2.56+0.00968*(180-B5)-0.0158*B4+0.438*LN(B4)),IF(AND(B5&gt;=180,B3=0),EXP(2.56-0.926*LN(B5/180)-0.0158*B4+0.438*LN(B4))))))))</f>
        <v>59.671814723265214</v>
      </c>
      <c r="C12" s="20" t="s">
        <v>12</v>
      </c>
      <c r="D12" s="8">
        <f>IF(OR(ISBLANK(B3),ISBLANK(B4),ISBLANK(B5),ISBLANK(B6),ISBLANK(B7)),"",B12*B10/1.73)</f>
        <v>62.42112638697539</v>
      </c>
      <c r="E12" s="21" t="s">
        <v>8</v>
      </c>
      <c r="F12" s="22"/>
    </row>
    <row r="13" spans="1:6" s="4" customFormat="1" ht="24.75" customHeight="1">
      <c r="A13" s="73" t="s">
        <v>16</v>
      </c>
      <c r="B13" s="74"/>
      <c r="C13" s="74"/>
      <c r="D13" s="74"/>
      <c r="E13" s="75"/>
      <c r="F13" s="22"/>
    </row>
    <row r="14" spans="1:6" s="4" customFormat="1" ht="15" customHeight="1" thickBot="1">
      <c r="A14" s="65" t="s">
        <v>7</v>
      </c>
      <c r="B14" s="66"/>
      <c r="C14" s="66"/>
      <c r="D14" s="66"/>
      <c r="E14" s="67"/>
      <c r="F14" s="22"/>
    </row>
    <row r="15" spans="1:5" ht="13.5" thickTop="1">
      <c r="A15" s="2"/>
      <c r="B15" s="9"/>
      <c r="C15" s="2"/>
      <c r="D15" s="2"/>
      <c r="E15" s="2"/>
    </row>
    <row r="17" ht="15">
      <c r="B17" s="10"/>
    </row>
    <row r="35" ht="12.75">
      <c r="G35" s="1"/>
    </row>
  </sheetData>
  <sheetProtection sheet="1" objects="1" scenarios="1"/>
  <mergeCells count="9">
    <mergeCell ref="D9:E9"/>
    <mergeCell ref="A14:E14"/>
    <mergeCell ref="A1:E1"/>
    <mergeCell ref="C10:D10"/>
    <mergeCell ref="A13:E13"/>
    <mergeCell ref="A2:E2"/>
    <mergeCell ref="B11:C11"/>
    <mergeCell ref="D11:E11"/>
    <mergeCell ref="C8:E8"/>
  </mergeCells>
  <printOptions gridLines="1"/>
  <pageMargins left="0.75" right="0.75" top="1" bottom="1" header="0.5" footer="0.5"/>
  <pageSetup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7"/>
  <dimension ref="A1:H35"/>
  <sheetViews>
    <sheetView tabSelected="1" zoomScale="150" zoomScaleNormal="150" zoomScalePageLayoutView="0" workbookViewId="0" topLeftCell="A1">
      <selection activeCell="B13" sqref="B13"/>
    </sheetView>
  </sheetViews>
  <sheetFormatPr defaultColWidth="11.50390625" defaultRowHeight="12.75"/>
  <cols>
    <col min="1" max="1" width="30.625" style="0" customWidth="1"/>
    <col min="2" max="2" width="10.625" style="11" customWidth="1"/>
    <col min="3" max="3" width="10.625" style="0" customWidth="1"/>
    <col min="4" max="4" width="9.625" style="0" customWidth="1"/>
    <col min="5" max="5" width="10.625" style="0" customWidth="1"/>
    <col min="6" max="6" width="11.50390625" style="2" customWidth="1"/>
  </cols>
  <sheetData>
    <row r="1" spans="1:5" ht="31.5" customHeight="1" thickTop="1">
      <c r="A1" s="90" t="s">
        <v>55</v>
      </c>
      <c r="B1" s="91"/>
      <c r="C1" s="91"/>
      <c r="D1" s="91"/>
      <c r="E1" s="92"/>
    </row>
    <row r="2" spans="1:8" ht="15" customHeight="1">
      <c r="A2" s="97" t="s">
        <v>45</v>
      </c>
      <c r="B2" s="98"/>
      <c r="C2" s="98"/>
      <c r="D2" s="98"/>
      <c r="E2" s="99"/>
      <c r="H2" s="2"/>
    </row>
    <row r="3" spans="1:6" s="4" customFormat="1" ht="15" customHeight="1">
      <c r="A3" s="14" t="s">
        <v>0</v>
      </c>
      <c r="B3" s="3">
        <v>0</v>
      </c>
      <c r="C3" s="16"/>
      <c r="D3" s="16"/>
      <c r="E3" s="52"/>
      <c r="F3" s="22"/>
    </row>
    <row r="4" spans="1:6" s="4" customFormat="1" ht="15" customHeight="1">
      <c r="A4" s="15" t="s">
        <v>1</v>
      </c>
      <c r="B4" s="5">
        <v>69</v>
      </c>
      <c r="C4" s="16" t="s">
        <v>2</v>
      </c>
      <c r="D4" s="16"/>
      <c r="E4" s="52"/>
      <c r="F4" s="22"/>
    </row>
    <row r="5" spans="1:6" s="4" customFormat="1" ht="15" customHeight="1">
      <c r="A5" s="15" t="s">
        <v>51</v>
      </c>
      <c r="B5" s="5">
        <v>97</v>
      </c>
      <c r="C5" s="16" t="s">
        <v>38</v>
      </c>
      <c r="D5" s="16"/>
      <c r="E5" s="52"/>
      <c r="F5" s="22"/>
    </row>
    <row r="6" spans="1:6" s="4" customFormat="1" ht="15" customHeight="1">
      <c r="A6" s="15" t="s">
        <v>20</v>
      </c>
      <c r="B6" s="5">
        <v>50</v>
      </c>
      <c r="C6" s="16" t="s">
        <v>3</v>
      </c>
      <c r="D6" s="16"/>
      <c r="E6" s="52"/>
      <c r="F6" s="22"/>
    </row>
    <row r="7" spans="1:6" s="4" customFormat="1" ht="15" customHeight="1">
      <c r="A7" s="15" t="s">
        <v>54</v>
      </c>
      <c r="B7" s="5">
        <v>170</v>
      </c>
      <c r="C7" s="16" t="s">
        <v>4</v>
      </c>
      <c r="D7" s="16"/>
      <c r="E7" s="52"/>
      <c r="F7" s="22"/>
    </row>
    <row r="8" spans="1:6" s="4" customFormat="1" ht="24.75" customHeight="1">
      <c r="A8" s="24" t="s">
        <v>48</v>
      </c>
      <c r="B8" s="23"/>
      <c r="C8" s="82" t="s">
        <v>40</v>
      </c>
      <c r="D8" s="100"/>
      <c r="E8" s="101"/>
      <c r="F8" s="22"/>
    </row>
    <row r="9" spans="1:6" s="4" customFormat="1" ht="15" customHeight="1">
      <c r="A9" s="46" t="s">
        <v>41</v>
      </c>
      <c r="B9" s="44">
        <f>IF(B6=0,"",IF(B7=0,"",B6/(B7*B7/10000)))</f>
        <v>17.301038062283737</v>
      </c>
      <c r="C9" s="18" t="s">
        <v>42</v>
      </c>
      <c r="D9" s="18"/>
      <c r="E9" s="49"/>
      <c r="F9" s="22"/>
    </row>
    <row r="10" spans="1:7" s="4" customFormat="1" ht="15" customHeight="1">
      <c r="A10" s="46" t="s">
        <v>39</v>
      </c>
      <c r="B10" s="44">
        <f>IF(ISBLANK(B3),"",IF(B6=0,"",IF(B7=0,"",IF(B3=0,(0.407*B6)+(0.267*B7)-19.2,(0.252*B6)+(0.473*B7)-48.3))))</f>
        <v>46.53999999999999</v>
      </c>
      <c r="C10" s="18" t="s">
        <v>3</v>
      </c>
      <c r="D10" s="18"/>
      <c r="E10" s="49"/>
      <c r="F10" s="22"/>
      <c r="G10" s="51"/>
    </row>
    <row r="11" spans="1:6" s="4" customFormat="1" ht="15" customHeight="1">
      <c r="A11" s="15" t="s">
        <v>5</v>
      </c>
      <c r="B11" s="6">
        <f>IF(B6=0,"",IF(B7=0,"",EXP(0.425*LN(B6)+0.725*LN(B7)+LN(71.84))/10000))</f>
        <v>1.568570501797106</v>
      </c>
      <c r="C11" s="86" t="s">
        <v>9</v>
      </c>
      <c r="D11" s="93"/>
      <c r="E11" s="50"/>
      <c r="F11" s="22"/>
    </row>
    <row r="12" spans="1:6" s="4" customFormat="1" ht="27" customHeight="1">
      <c r="A12" s="42" t="s">
        <v>6</v>
      </c>
      <c r="B12" s="79" t="s">
        <v>14</v>
      </c>
      <c r="C12" s="80"/>
      <c r="D12" s="81" t="s">
        <v>15</v>
      </c>
      <c r="E12" s="78"/>
      <c r="F12" s="22"/>
    </row>
    <row r="13" spans="1:6" s="4" customFormat="1" ht="27" customHeight="1">
      <c r="A13" s="19" t="s">
        <v>52</v>
      </c>
      <c r="B13" s="45">
        <f>IF(OR(ISBLANK(B3),ISBLANK(B4),ISBLANK(B5),ISBLANK(B6),ISBLANK(B7)),"",IF(B4&lt;18,"Fel ålder",D13*1.73/B11))</f>
        <v>54.65273741282362</v>
      </c>
      <c r="C13" s="47" t="s">
        <v>12</v>
      </c>
      <c r="D13" s="8">
        <f>IF(OR(ISBLANK(B3),ISBLANK(B4),ISBLANK(B5),ISBLANK(B6),ISBLANK(B7)),"",IF(B5&lt;150,EXP(-0.0111*B5-0.0128*B4+0.387*LN(B4)+1.1*LN(B10)),IF(B5&gt;=150,EXP(3.55-1.07*LN(B5)+0.0004*B5-0.0128*(B4)+0.387*LN(B4)+1.1*LN(B10)))))</f>
        <v>49.55298944983713</v>
      </c>
      <c r="E13" s="48" t="s">
        <v>8</v>
      </c>
      <c r="F13" s="22"/>
    </row>
    <row r="14" spans="1:6" s="4" customFormat="1" ht="18.75" customHeight="1" thickBot="1">
      <c r="A14" s="94" t="s">
        <v>69</v>
      </c>
      <c r="B14" s="95"/>
      <c r="C14" s="95"/>
      <c r="D14" s="95"/>
      <c r="E14" s="96"/>
      <c r="F14" s="22"/>
    </row>
    <row r="15" spans="1:5" ht="12.75">
      <c r="A15" s="2"/>
      <c r="B15" s="9"/>
      <c r="C15" s="2"/>
      <c r="D15" s="2"/>
      <c r="E15" s="2"/>
    </row>
    <row r="16" ht="12.75"/>
    <row r="17" ht="15">
      <c r="B17" s="10"/>
    </row>
    <row r="35" ht="12.75">
      <c r="G35" s="1"/>
    </row>
  </sheetData>
  <sheetProtection sheet="1" objects="1" scenarios="1"/>
  <mergeCells count="7">
    <mergeCell ref="A1:E1"/>
    <mergeCell ref="C11:D11"/>
    <mergeCell ref="A14:E14"/>
    <mergeCell ref="A2:E2"/>
    <mergeCell ref="B12:C12"/>
    <mergeCell ref="D12:E12"/>
    <mergeCell ref="C8:E8"/>
  </mergeCells>
  <printOptions gridLines="1"/>
  <pageMargins left="0.75" right="0.75" top="1" bottom="1" header="0.5" footer="0.5"/>
  <pageSetup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/>
  <dimension ref="A1:H35"/>
  <sheetViews>
    <sheetView zoomScale="150" zoomScaleNormal="150" zoomScalePageLayoutView="0" workbookViewId="0" topLeftCell="A1">
      <selection activeCell="G13" sqref="G13"/>
    </sheetView>
  </sheetViews>
  <sheetFormatPr defaultColWidth="11.50390625" defaultRowHeight="12.75"/>
  <cols>
    <col min="1" max="1" width="30.625" style="0" customWidth="1"/>
    <col min="2" max="2" width="10.625" style="11" customWidth="1"/>
    <col min="3" max="3" width="10.625" style="0" customWidth="1"/>
    <col min="4" max="4" width="9.625" style="0" customWidth="1"/>
    <col min="5" max="5" width="10.625" style="0" customWidth="1"/>
    <col min="6" max="6" width="11.50390625" style="2" customWidth="1"/>
  </cols>
  <sheetData>
    <row r="1" spans="1:5" ht="31.5" customHeight="1" thickTop="1">
      <c r="A1" s="90" t="s">
        <v>55</v>
      </c>
      <c r="B1" s="91"/>
      <c r="C1" s="91"/>
      <c r="D1" s="91"/>
      <c r="E1" s="92"/>
    </row>
    <row r="2" spans="1:8" ht="15" customHeight="1">
      <c r="A2" s="97" t="s">
        <v>45</v>
      </c>
      <c r="B2" s="98"/>
      <c r="C2" s="98"/>
      <c r="D2" s="98"/>
      <c r="E2" s="99"/>
      <c r="H2" s="2"/>
    </row>
    <row r="3" spans="1:6" s="4" customFormat="1" ht="15" customHeight="1">
      <c r="A3" s="14" t="s">
        <v>0</v>
      </c>
      <c r="B3" s="3">
        <v>0</v>
      </c>
      <c r="C3" s="16"/>
      <c r="D3" s="16"/>
      <c r="E3" s="52"/>
      <c r="F3" s="22"/>
    </row>
    <row r="4" spans="1:6" s="4" customFormat="1" ht="15" customHeight="1">
      <c r="A4" s="15" t="s">
        <v>1</v>
      </c>
      <c r="B4" s="5">
        <v>69</v>
      </c>
      <c r="C4" s="16" t="s">
        <v>2</v>
      </c>
      <c r="D4" s="16"/>
      <c r="E4" s="52"/>
      <c r="F4" s="22"/>
    </row>
    <row r="5" spans="1:6" s="4" customFormat="1" ht="15" customHeight="1">
      <c r="A5" s="15" t="s">
        <v>51</v>
      </c>
      <c r="B5" s="5">
        <v>97</v>
      </c>
      <c r="C5" s="16" t="s">
        <v>38</v>
      </c>
      <c r="D5" s="16"/>
      <c r="E5" s="52"/>
      <c r="F5" s="22"/>
    </row>
    <row r="6" spans="1:6" s="4" customFormat="1" ht="15" customHeight="1">
      <c r="A6" s="15" t="s">
        <v>20</v>
      </c>
      <c r="B6" s="5">
        <v>50</v>
      </c>
      <c r="C6" s="16" t="s">
        <v>3</v>
      </c>
      <c r="D6" s="16"/>
      <c r="E6" s="52"/>
      <c r="F6" s="22"/>
    </row>
    <row r="7" spans="1:6" s="4" customFormat="1" ht="15" customHeight="1">
      <c r="A7" s="15" t="s">
        <v>54</v>
      </c>
      <c r="B7" s="5">
        <v>170</v>
      </c>
      <c r="C7" s="16" t="s">
        <v>4</v>
      </c>
      <c r="D7" s="16"/>
      <c r="E7" s="52"/>
      <c r="F7" s="22"/>
    </row>
    <row r="8" spans="1:6" s="4" customFormat="1" ht="24.75" customHeight="1">
      <c r="A8" s="24" t="s">
        <v>48</v>
      </c>
      <c r="B8" s="23"/>
      <c r="C8" s="82" t="s">
        <v>40</v>
      </c>
      <c r="D8" s="100"/>
      <c r="E8" s="101"/>
      <c r="F8" s="22"/>
    </row>
    <row r="9" spans="1:6" s="4" customFormat="1" ht="15" customHeight="1">
      <c r="A9" s="46" t="s">
        <v>41</v>
      </c>
      <c r="B9" s="44">
        <f>IF(B6=0,"",IF(B7=0,"",B6/(B7*B7/10000)))</f>
        <v>17.301038062283737</v>
      </c>
      <c r="C9" s="18" t="s">
        <v>42</v>
      </c>
      <c r="D9" s="18"/>
      <c r="E9" s="49"/>
      <c r="F9" s="22"/>
    </row>
    <row r="10" spans="1:7" s="4" customFormat="1" ht="15" customHeight="1">
      <c r="A10" s="46" t="s">
        <v>39</v>
      </c>
      <c r="B10" s="44">
        <f>IF(ISBLANK(B3),"",IF(B6=0,"",IF(B7=0,"",IF(B3=0,(0.407*B6)+(0.267*B7)-19.2,(0.252*B6)+(0.473*B7)-48.3))))</f>
        <v>46.53999999999999</v>
      </c>
      <c r="C10" s="18" t="s">
        <v>3</v>
      </c>
      <c r="D10" s="18"/>
      <c r="E10" s="49"/>
      <c r="F10" s="22"/>
      <c r="G10" s="51"/>
    </row>
    <row r="11" spans="1:6" s="4" customFormat="1" ht="15" customHeight="1">
      <c r="A11" s="15" t="s">
        <v>5</v>
      </c>
      <c r="B11" s="6">
        <f>IF(B6=0,"",IF(B7=0,"",EXP(0.425*LN(B6)+0.725*LN(B7)+LN(71.84))/10000))</f>
        <v>1.568570501797106</v>
      </c>
      <c r="C11" s="86" t="s">
        <v>9</v>
      </c>
      <c r="D11" s="93"/>
      <c r="E11" s="50"/>
      <c r="F11" s="22"/>
    </row>
    <row r="12" spans="1:6" s="4" customFormat="1" ht="27" customHeight="1">
      <c r="A12" s="42" t="s">
        <v>6</v>
      </c>
      <c r="B12" s="79" t="s">
        <v>14</v>
      </c>
      <c r="C12" s="80"/>
      <c r="D12" s="81" t="s">
        <v>15</v>
      </c>
      <c r="E12" s="78"/>
      <c r="F12" s="22"/>
    </row>
    <row r="13" spans="1:6" s="4" customFormat="1" ht="27" customHeight="1">
      <c r="A13" s="19" t="s">
        <v>52</v>
      </c>
      <c r="B13" s="45">
        <f>IF(OR(ISBLANK(B3),ISBLANK(B4),ISBLANK(B5),ISBLANK(B6),ISBLANK(B7)),"",IF(B4&lt;18,"Fel ålder",D13*1.73/B11))</f>
        <v>54.65273741282362</v>
      </c>
      <c r="C13" s="47" t="s">
        <v>12</v>
      </c>
      <c r="D13" s="8">
        <f>IF(OR(ISBLANK(B3),ISBLANK(B4),ISBLANK(B5),ISBLANK(B6),ISBLANK(B7)),"",IF(B5&lt;150,EXP(-0.0111*B5-0.0128*B4+0.387*LN(B4)+1.1*LN(B10)),IF(B5&gt;=150,EXP(3.55-1.07*LN(B5)+0.0004*B5-0.0128*(B4)+0.387*LN(B4)+1.1*LN(B10)))))</f>
        <v>49.55298944983713</v>
      </c>
      <c r="E13" s="48" t="s">
        <v>8</v>
      </c>
      <c r="F13" s="22"/>
    </row>
    <row r="14" spans="1:6" s="4" customFormat="1" ht="18.75" customHeight="1" thickBot="1">
      <c r="A14" s="94" t="s">
        <v>68</v>
      </c>
      <c r="B14" s="95"/>
      <c r="C14" s="95"/>
      <c r="D14" s="95"/>
      <c r="E14" s="96"/>
      <c r="F14" s="22"/>
    </row>
    <row r="15" spans="1:5" ht="12.75">
      <c r="A15" s="2"/>
      <c r="B15" s="9"/>
      <c r="C15" s="2"/>
      <c r="D15" s="2"/>
      <c r="E15" s="2"/>
    </row>
    <row r="16" ht="12.75"/>
    <row r="17" ht="15">
      <c r="B17" s="10"/>
    </row>
    <row r="35" ht="12.75">
      <c r="G35" s="1"/>
    </row>
  </sheetData>
  <sheetProtection sheet="1" objects="1" scenarios="1"/>
  <mergeCells count="7">
    <mergeCell ref="A1:E1"/>
    <mergeCell ref="C11:D11"/>
    <mergeCell ref="A14:E14"/>
    <mergeCell ref="A2:E2"/>
    <mergeCell ref="B12:C12"/>
    <mergeCell ref="D12:E12"/>
    <mergeCell ref="C8:E8"/>
  </mergeCells>
  <printOptions gridLines="1"/>
  <pageMargins left="0.75" right="0.75" top="1" bottom="1" header="0.5" footer="0.5"/>
  <pageSetup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A1:H35"/>
  <sheetViews>
    <sheetView zoomScale="150" zoomScaleNormal="150" zoomScalePageLayoutView="0" workbookViewId="0" topLeftCell="A1">
      <selection activeCell="B8" sqref="B8"/>
    </sheetView>
  </sheetViews>
  <sheetFormatPr defaultColWidth="11.50390625" defaultRowHeight="12.75"/>
  <cols>
    <col min="1" max="1" width="30.625" style="0" customWidth="1"/>
    <col min="2" max="2" width="10.625" style="11" customWidth="1"/>
    <col min="3" max="3" width="10.625" style="0" customWidth="1"/>
    <col min="4" max="4" width="9.625" style="0" customWidth="1"/>
    <col min="5" max="5" width="10.625" style="0" customWidth="1"/>
    <col min="6" max="6" width="11.50390625" style="2" customWidth="1"/>
  </cols>
  <sheetData>
    <row r="1" spans="1:5" ht="31.5" customHeight="1" thickTop="1">
      <c r="A1" s="90" t="s">
        <v>67</v>
      </c>
      <c r="B1" s="91"/>
      <c r="C1" s="91"/>
      <c r="D1" s="91"/>
      <c r="E1" s="92"/>
    </row>
    <row r="2" spans="1:8" ht="15" customHeight="1">
      <c r="A2" s="97"/>
      <c r="B2" s="98"/>
      <c r="C2" s="98"/>
      <c r="D2" s="98"/>
      <c r="E2" s="99"/>
      <c r="H2" s="2"/>
    </row>
    <row r="3" spans="1:6" s="4" customFormat="1" ht="15" customHeight="1">
      <c r="A3" s="14" t="s">
        <v>56</v>
      </c>
      <c r="B3" s="57">
        <v>0</v>
      </c>
      <c r="C3" s="16"/>
      <c r="D3" s="16"/>
      <c r="E3" s="52"/>
      <c r="F3" s="22"/>
    </row>
    <row r="4" spans="1:6" s="4" customFormat="1" ht="15" customHeight="1">
      <c r="A4" s="15" t="s">
        <v>57</v>
      </c>
      <c r="B4" s="58">
        <v>69</v>
      </c>
      <c r="C4" s="16" t="s">
        <v>58</v>
      </c>
      <c r="D4" s="16"/>
      <c r="E4" s="52"/>
      <c r="F4" s="22"/>
    </row>
    <row r="5" spans="1:6" s="4" customFormat="1" ht="15" customHeight="1">
      <c r="A5" s="15" t="s">
        <v>59</v>
      </c>
      <c r="B5" s="58">
        <v>97</v>
      </c>
      <c r="C5" s="16" t="s">
        <v>38</v>
      </c>
      <c r="D5" s="16"/>
      <c r="E5" s="52"/>
      <c r="F5" s="22"/>
    </row>
    <row r="6" spans="1:6" s="4" customFormat="1" ht="15" customHeight="1">
      <c r="A6" s="15" t="s">
        <v>60</v>
      </c>
      <c r="B6" s="58">
        <v>50</v>
      </c>
      <c r="C6" s="16" t="s">
        <v>3</v>
      </c>
      <c r="D6" s="16"/>
      <c r="E6" s="52"/>
      <c r="F6" s="22"/>
    </row>
    <row r="7" spans="1:6" s="4" customFormat="1" ht="15" customHeight="1">
      <c r="A7" s="15" t="s">
        <v>61</v>
      </c>
      <c r="B7" s="58">
        <v>170</v>
      </c>
      <c r="C7" s="16" t="s">
        <v>4</v>
      </c>
      <c r="D7" s="16"/>
      <c r="E7" s="52"/>
      <c r="F7" s="22"/>
    </row>
    <row r="8" spans="1:6" s="4" customFormat="1" ht="24.75" customHeight="1">
      <c r="A8" s="24"/>
      <c r="B8" s="23"/>
      <c r="C8" s="82"/>
      <c r="D8" s="100"/>
      <c r="E8" s="101"/>
      <c r="F8" s="22"/>
    </row>
    <row r="9" spans="1:6" s="4" customFormat="1" ht="15" customHeight="1">
      <c r="A9" s="46" t="s">
        <v>41</v>
      </c>
      <c r="B9" s="59">
        <f>IF(B6=0,"",IF(B7=0,"",B6/(B7*B7/10000)))</f>
        <v>17.301038062283737</v>
      </c>
      <c r="C9" s="18" t="s">
        <v>42</v>
      </c>
      <c r="D9" s="18"/>
      <c r="E9" s="49"/>
      <c r="F9" s="22"/>
    </row>
    <row r="10" spans="1:7" s="4" customFormat="1" ht="15" customHeight="1">
      <c r="A10" s="46" t="s">
        <v>39</v>
      </c>
      <c r="B10" s="59">
        <f>IF(ISBLANK(B3),"",IF(B6=0,"",IF(B7=0,"",IF(B3=0,(0.407*B6)+(0.267*B7)-19.2,(0.252*B6)+(0.473*B7)-48.3))))</f>
        <v>46.53999999999999</v>
      </c>
      <c r="C10" s="18" t="s">
        <v>3</v>
      </c>
      <c r="D10" s="18"/>
      <c r="E10" s="49"/>
      <c r="F10" s="22"/>
      <c r="G10" s="51"/>
    </row>
    <row r="11" spans="1:6" s="4" customFormat="1" ht="15" customHeight="1">
      <c r="A11" s="15" t="s">
        <v>62</v>
      </c>
      <c r="B11" s="60">
        <f>IF(B6=0,"",IF(B7=0,"",EXP(0.425*LN(B6)+0.725*LN(B7)+LN(71.84))/10000))</f>
        <v>1.568570501797106</v>
      </c>
      <c r="C11" s="86" t="s">
        <v>9</v>
      </c>
      <c r="D11" s="93"/>
      <c r="E11" s="50"/>
      <c r="F11" s="22"/>
    </row>
    <row r="12" spans="1:6" s="4" customFormat="1" ht="27" customHeight="1">
      <c r="A12" s="42" t="s">
        <v>63</v>
      </c>
      <c r="B12" s="79" t="s">
        <v>64</v>
      </c>
      <c r="C12" s="80"/>
      <c r="D12" s="81" t="s">
        <v>65</v>
      </c>
      <c r="E12" s="78"/>
      <c r="F12" s="22"/>
    </row>
    <row r="13" spans="1:6" s="4" customFormat="1" ht="27" customHeight="1">
      <c r="A13" s="19" t="s">
        <v>66</v>
      </c>
      <c r="B13" s="61">
        <f>IF(OR(ISBLANK(B3),ISBLANK(B4),ISBLANK(B5),ISBLANK(B6),ISBLANK(B7)),"",IF(B4&lt;18,"Fel ålder",D13*1.73/B11))</f>
        <v>54.65273741282362</v>
      </c>
      <c r="C13" s="47" t="s">
        <v>12</v>
      </c>
      <c r="D13" s="62">
        <f>IF(OR(ISBLANK(B3),ISBLANK(B4),ISBLANK(B5),ISBLANK(B6),ISBLANK(B7)),"",IF(B5&lt;150,EXP(-0.0111*B5-0.0128*B4+0.387*LN(B4)+1.1*LN(B10)),IF(B5&gt;=150,EXP(3.55-1.07*LN(B5)+0.0004*B5-0.0128*(B4)+0.387*LN(B4)+1.1*LN(B10)))))</f>
        <v>49.55298944983713</v>
      </c>
      <c r="E13" s="48" t="s">
        <v>8</v>
      </c>
      <c r="F13" s="22"/>
    </row>
    <row r="14" spans="1:6" s="4" customFormat="1" ht="18" customHeight="1" thickBot="1">
      <c r="A14" s="94" t="s">
        <v>68</v>
      </c>
      <c r="B14" s="95"/>
      <c r="C14" s="95"/>
      <c r="D14" s="95"/>
      <c r="E14" s="96"/>
      <c r="F14" s="22"/>
    </row>
    <row r="15" spans="1:5" ht="12.75">
      <c r="A15" s="2"/>
      <c r="B15" s="9"/>
      <c r="C15" s="2"/>
      <c r="D15" s="2"/>
      <c r="E15" s="2"/>
    </row>
    <row r="16" ht="12.75"/>
    <row r="17" ht="15">
      <c r="B17" s="10"/>
    </row>
    <row r="35" ht="12.75">
      <c r="G35" s="1"/>
    </row>
  </sheetData>
  <sheetProtection sheet="1" objects="1" scenarios="1"/>
  <mergeCells count="7">
    <mergeCell ref="A14:E14"/>
    <mergeCell ref="A1:E1"/>
    <mergeCell ref="A2:E2"/>
    <mergeCell ref="C8:E8"/>
    <mergeCell ref="C11:D11"/>
    <mergeCell ref="B12:C12"/>
    <mergeCell ref="D12:E12"/>
  </mergeCells>
  <printOptions gridLines="1"/>
  <pageMargins left="0.75" right="0.75" top="1" bottom="1" header="0.5" footer="0.5"/>
  <pageSetup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N5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1.4921875" style="0" customWidth="1"/>
    <col min="2" max="2" width="11.125" style="25" bestFit="1" customWidth="1"/>
    <col min="3" max="3" width="5.875" style="25" bestFit="1" customWidth="1"/>
    <col min="4" max="4" width="7.00390625" style="25" bestFit="1" customWidth="1"/>
    <col min="5" max="5" width="8.375" style="25" bestFit="1" customWidth="1"/>
    <col min="6" max="6" width="5.50390625" style="25" bestFit="1" customWidth="1"/>
    <col min="7" max="7" width="12.625" style="0" bestFit="1" customWidth="1"/>
    <col min="8" max="8" width="9.375" style="0" bestFit="1" customWidth="1"/>
    <col min="9" max="9" width="6.375" style="0" bestFit="1" customWidth="1"/>
    <col min="10" max="10" width="15.625" style="0" bestFit="1" customWidth="1"/>
    <col min="11" max="11" width="14.75390625" style="0" bestFit="1" customWidth="1"/>
    <col min="12" max="12" width="14.875" style="0" bestFit="1" customWidth="1"/>
    <col min="13" max="13" width="10.875" style="0" bestFit="1" customWidth="1"/>
    <col min="14" max="14" width="18.625" style="0" bestFit="1" customWidth="1"/>
  </cols>
  <sheetData>
    <row r="1" ht="8.25" customHeight="1" thickBot="1"/>
    <row r="2" spans="2:14" s="28" customFormat="1" ht="39" customHeight="1" thickBot="1" thickTop="1">
      <c r="B2" s="104" t="s">
        <v>37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2:14" s="26" customFormat="1" ht="24.75" customHeight="1">
      <c r="B3" s="29" t="s">
        <v>24</v>
      </c>
      <c r="C3" s="30" t="s">
        <v>18</v>
      </c>
      <c r="D3" s="30" t="s">
        <v>1</v>
      </c>
      <c r="E3" s="30" t="s">
        <v>19</v>
      </c>
      <c r="F3" s="30" t="s">
        <v>20</v>
      </c>
      <c r="G3" s="31" t="s">
        <v>29</v>
      </c>
      <c r="H3" s="31" t="s">
        <v>21</v>
      </c>
      <c r="I3" s="31" t="s">
        <v>28</v>
      </c>
      <c r="J3" s="31" t="s">
        <v>27</v>
      </c>
      <c r="K3" s="31" t="s">
        <v>22</v>
      </c>
      <c r="L3" s="31" t="s">
        <v>26</v>
      </c>
      <c r="M3" s="31" t="s">
        <v>23</v>
      </c>
      <c r="N3" s="32" t="s">
        <v>25</v>
      </c>
    </row>
    <row r="4" spans="2:14" s="26" customFormat="1" ht="24.75" customHeight="1" thickBot="1">
      <c r="B4" s="33" t="s">
        <v>32</v>
      </c>
      <c r="C4" s="34"/>
      <c r="D4" s="34" t="s">
        <v>33</v>
      </c>
      <c r="E4" s="34" t="s">
        <v>30</v>
      </c>
      <c r="F4" s="34" t="s">
        <v>31</v>
      </c>
      <c r="G4" s="35" t="s">
        <v>34</v>
      </c>
      <c r="H4" s="35" t="s">
        <v>35</v>
      </c>
      <c r="I4" s="35" t="s">
        <v>31</v>
      </c>
      <c r="J4" s="102" t="s">
        <v>36</v>
      </c>
      <c r="K4" s="102"/>
      <c r="L4" s="102"/>
      <c r="M4" s="102"/>
      <c r="N4" s="103"/>
    </row>
    <row r="5" spans="2:14" s="27" customFormat="1" ht="24.75" customHeight="1" thickBot="1">
      <c r="B5" s="40">
        <v>120</v>
      </c>
      <c r="C5" s="41">
        <v>1</v>
      </c>
      <c r="D5" s="41">
        <v>89</v>
      </c>
      <c r="E5" s="41">
        <v>160</v>
      </c>
      <c r="F5" s="41">
        <v>50</v>
      </c>
      <c r="G5" s="36">
        <f>POWER(F5,0.425)*POWER(E5,0.725)*0.007184</f>
        <v>1.5011205242081451</v>
      </c>
      <c r="H5" s="37">
        <f>F5/(E5*E5/10000)</f>
        <v>19.53125</v>
      </c>
      <c r="I5" s="38">
        <f>IF(C5=0,(0.407*F5)+(0.267*E5)-19.2,(0.252*F5)+(0.473*E5)-48.3)</f>
        <v>39.97999999999999</v>
      </c>
      <c r="J5" s="38">
        <f>IF(AND(B5&lt;150,C5=1),EXP(2.56-0.0642+0.0121*(150-B5)-0.0158*D5+0.438*LN(D5)),IF(AND(B5&gt;=150,C5=1),EXP(2.56-0.0642-0.926*LN(B5/150)-0.0158*D5+0.438*LN(D5)),IF(AND(B5&lt;180,C5=0),EXP(2.56+0.00968*(180-B5)-0.0158*D5+0.438*LN(D5)),IF(AND(B5&gt;=180,C5=0),EXP(2.56-0.926*LN(B5/180)-0.0158*D5+0.438*LN(D5))))))</f>
        <v>30.527341660912054</v>
      </c>
      <c r="K5" s="38">
        <f>IF(B5&lt;150,EXP(-0.0111*B5-0.0128*D5+0.387*LN(D5)+1.1*LN(I5)),IF(B5&gt;=150,EXP(3.55-1.07*LN(B5)+0.0004*B5-0.0128*(D5)+0.387*LN(D5)+1.1*LN(I5))))</f>
        <v>27.7467727759079</v>
      </c>
      <c r="L5" s="38">
        <f>EXP(-1.154*LN(B5/88.4)-0.203*LN(D5)-0.299*C5)*175</f>
        <v>36.668114865131685</v>
      </c>
      <c r="M5" s="38">
        <f>IF(C5=1,141*(MIN(B5/(88.4*0.7),1)^-0.329)*(MAX(B5/(88.4*0.7),1)^-1.209)*(0.993^D5)*1.018,IF(C5=0,141*(MIN(B5/(88.4*0.9),1)^-0.411)*(MAX(B5/(88.4*0.9),1)^-1.209)*(0.993^D5)))</f>
        <v>34.490873960825645</v>
      </c>
      <c r="N5" s="39">
        <f>((IF(C5=1,1.04*(140-D5)*F5/B5,IF(C5=0,1.23*(140-D5)*F5/B5)))*1.73/G5)</f>
        <v>25.46964043421381</v>
      </c>
    </row>
    <row r="6" ht="13.5" thickTop="1"/>
  </sheetData>
  <sheetProtection sheet="1" objects="1" scenarios="1"/>
  <mergeCells count="2">
    <mergeCell ref="J4:N4"/>
    <mergeCell ref="B2:N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Nyman</dc:creator>
  <cp:keywords/>
  <dc:description/>
  <cp:lastModifiedBy>ulfny</cp:lastModifiedBy>
  <dcterms:created xsi:type="dcterms:W3CDTF">2006-03-20T09:45:11Z</dcterms:created>
  <dcterms:modified xsi:type="dcterms:W3CDTF">2018-05-13T10:25:47Z</dcterms:modified>
  <cp:category/>
  <cp:version/>
  <cp:contentType/>
  <cp:contentStatus/>
</cp:coreProperties>
</file>